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戦績表" sheetId="1" r:id="rId1"/>
    <sheet name="勝率計算機" sheetId="2" r:id="rId2"/>
  </sheets>
  <calcPr calcId="152511"/>
</workbook>
</file>

<file path=xl/calcChain.xml><?xml version="1.0" encoding="utf-8"?>
<calcChain xmlns="http://schemas.openxmlformats.org/spreadsheetml/2006/main">
  <c r="E1" i="2" l="1"/>
  <c r="G10" i="2"/>
  <c r="F10" i="2"/>
  <c r="E10" i="2"/>
  <c r="D10" i="2"/>
  <c r="C10" i="2"/>
  <c r="B10" i="2"/>
  <c r="A10" i="2"/>
  <c r="G7" i="2"/>
  <c r="F7" i="2"/>
  <c r="E7" i="2"/>
  <c r="D7" i="2"/>
  <c r="C7" i="2"/>
  <c r="B7" i="2"/>
  <c r="A7" i="2"/>
  <c r="G4" i="2"/>
  <c r="F4" i="2"/>
  <c r="E4" i="2"/>
  <c r="D4" i="2"/>
  <c r="C4" i="2"/>
  <c r="B4" i="2"/>
  <c r="A4" i="2"/>
  <c r="N11" i="1" l="1"/>
  <c r="N10" i="1"/>
  <c r="N9" i="1"/>
  <c r="N8" i="1"/>
  <c r="N7" i="1"/>
  <c r="N6" i="1"/>
  <c r="N5" i="1"/>
  <c r="N4" i="1"/>
  <c r="N3" i="1"/>
  <c r="N2" i="1"/>
  <c r="M3" i="1"/>
  <c r="O3" i="1" s="1"/>
  <c r="M4" i="1"/>
  <c r="O4" i="1" s="1"/>
  <c r="M5" i="1"/>
  <c r="O5" i="1" s="1"/>
  <c r="M6" i="1"/>
  <c r="O6" i="1" s="1"/>
  <c r="M7" i="1"/>
  <c r="O7" i="1" s="1"/>
  <c r="M8" i="1"/>
  <c r="O8" i="1" s="1"/>
  <c r="M9" i="1"/>
  <c r="O9" i="1" s="1"/>
  <c r="M11" i="1"/>
  <c r="O11" i="1" s="1"/>
  <c r="M10" i="1"/>
  <c r="O10" i="1" s="1"/>
  <c r="M2" i="1"/>
  <c r="O2" i="1" s="1"/>
  <c r="K11" i="1"/>
  <c r="K10" i="1"/>
  <c r="K9" i="1"/>
  <c r="K8" i="1"/>
  <c r="K7" i="1"/>
  <c r="K6" i="1"/>
  <c r="K5" i="1"/>
  <c r="K4" i="1"/>
  <c r="K3" i="1"/>
  <c r="K2" i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  <c r="J3" i="1"/>
  <c r="L3" i="1" s="1"/>
  <c r="J2" i="1"/>
  <c r="L2" i="1" s="1"/>
</calcChain>
</file>

<file path=xl/sharedStrings.xml><?xml version="1.0" encoding="utf-8"?>
<sst xmlns="http://schemas.openxmlformats.org/spreadsheetml/2006/main" count="143" uniqueCount="46">
  <si>
    <t>勝数</t>
    <rPh sb="0" eb="2">
      <t>カチスウ</t>
    </rPh>
    <phoneticPr fontId="1"/>
  </si>
  <si>
    <t>負数</t>
    <rPh sb="0" eb="2">
      <t>マケスウ</t>
    </rPh>
    <phoneticPr fontId="1"/>
  </si>
  <si>
    <t>勝率</t>
    <rPh sb="0" eb="2">
      <t>ショウリツ</t>
    </rPh>
    <phoneticPr fontId="1"/>
  </si>
  <si>
    <t>横田</t>
    <rPh sb="0" eb="2">
      <t>ヨコタ</t>
    </rPh>
    <phoneticPr fontId="1"/>
  </si>
  <si>
    <t>点数</t>
    <rPh sb="0" eb="2">
      <t>テンスウ</t>
    </rPh>
    <phoneticPr fontId="1"/>
  </si>
  <si>
    <t>○</t>
    <phoneticPr fontId="1"/>
  </si>
  <si>
    <t>×</t>
    <phoneticPr fontId="1"/>
  </si>
  <si>
    <t>平岩</t>
    <rPh sb="0" eb="2">
      <t>ヒライワ</t>
    </rPh>
    <phoneticPr fontId="1"/>
  </si>
  <si>
    <t>床波</t>
    <rPh sb="0" eb="2">
      <t>トコナミ</t>
    </rPh>
    <phoneticPr fontId="1"/>
  </si>
  <si>
    <t>小原</t>
    <rPh sb="0" eb="2">
      <t>コハラ</t>
    </rPh>
    <phoneticPr fontId="1"/>
  </si>
  <si>
    <t>鈴木</t>
    <rPh sb="0" eb="2">
      <t>スズキ</t>
    </rPh>
    <phoneticPr fontId="1"/>
  </si>
  <si>
    <t>堀井</t>
    <rPh sb="0" eb="2">
      <t>ホリイ</t>
    </rPh>
    <phoneticPr fontId="1"/>
  </si>
  <si>
    <t>友藤</t>
    <rPh sb="0" eb="2">
      <t>トモフジ</t>
    </rPh>
    <phoneticPr fontId="1"/>
  </si>
  <si>
    <t>岩城</t>
    <rPh sb="0" eb="2">
      <t>イワキ</t>
    </rPh>
    <phoneticPr fontId="1"/>
  </si>
  <si>
    <t>田口</t>
    <rPh sb="0" eb="2">
      <t>タグチ</t>
    </rPh>
    <phoneticPr fontId="1"/>
  </si>
  <si>
    <t>上野山</t>
    <rPh sb="0" eb="3">
      <t>ウエノヤマ</t>
    </rPh>
    <phoneticPr fontId="1"/>
  </si>
  <si>
    <t>総得点</t>
    <rPh sb="0" eb="3">
      <t>ソウトクテン</t>
    </rPh>
    <phoneticPr fontId="1"/>
  </si>
  <si>
    <t>総失点</t>
    <rPh sb="0" eb="3">
      <t>ソウシッテン</t>
    </rPh>
    <phoneticPr fontId="1"/>
  </si>
  <si>
    <t>以上、全24試合</t>
    <rPh sb="0" eb="2">
      <t>イジョウ</t>
    </rPh>
    <rPh sb="3" eb="4">
      <t>ゼン</t>
    </rPh>
    <rPh sb="6" eb="8">
      <t>シアイ</t>
    </rPh>
    <phoneticPr fontId="1"/>
  </si>
  <si>
    <t>得点率</t>
    <rPh sb="0" eb="3">
      <t>トクテンリツ</t>
    </rPh>
    <phoneticPr fontId="1"/>
  </si>
  <si>
    <t>%</t>
    <phoneticPr fontId="1"/>
  </si>
  <si>
    <t>%</t>
    <phoneticPr fontId="1"/>
  </si>
  <si>
    <t>21-0</t>
    <phoneticPr fontId="1"/>
  </si>
  <si>
    <t>21-1</t>
    <phoneticPr fontId="1"/>
  </si>
  <si>
    <t>21-2</t>
    <phoneticPr fontId="1"/>
  </si>
  <si>
    <t>21-3</t>
    <phoneticPr fontId="1"/>
  </si>
  <si>
    <t>21-4</t>
    <phoneticPr fontId="1"/>
  </si>
  <si>
    <t>21-5</t>
    <phoneticPr fontId="1"/>
  </si>
  <si>
    <t>21-6</t>
    <phoneticPr fontId="1"/>
  </si>
  <si>
    <t>21-7</t>
    <phoneticPr fontId="1"/>
  </si>
  <si>
    <t>21-8</t>
    <phoneticPr fontId="1"/>
  </si>
  <si>
    <t>21-9</t>
    <phoneticPr fontId="1"/>
  </si>
  <si>
    <t>21-10</t>
    <phoneticPr fontId="1"/>
  </si>
  <si>
    <t>21-11</t>
    <phoneticPr fontId="1"/>
  </si>
  <si>
    <t>21-12</t>
    <phoneticPr fontId="1"/>
  </si>
  <si>
    <t>21-13</t>
    <phoneticPr fontId="1"/>
  </si>
  <si>
    <t>21-14</t>
    <phoneticPr fontId="1"/>
  </si>
  <si>
    <t>21-15</t>
    <phoneticPr fontId="1"/>
  </si>
  <si>
    <t>21-16</t>
    <phoneticPr fontId="1"/>
  </si>
  <si>
    <t>21-17</t>
    <phoneticPr fontId="1"/>
  </si>
  <si>
    <t>21-18</t>
    <phoneticPr fontId="1"/>
  </si>
  <si>
    <t>21-19</t>
    <phoneticPr fontId="1"/>
  </si>
  <si>
    <t>デュース</t>
    <phoneticPr fontId="1"/>
  </si>
  <si>
    <t>※色付きセルの数字はいじらないでください</t>
    <rPh sb="1" eb="3">
      <t>イロツ</t>
    </rPh>
    <rPh sb="7" eb="9">
      <t>スウジ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</si>
  <si>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得点率</t>
    </r>
    <r>
      <rPr>
        <sz val="8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1</t>
    </r>
    <rPh sb="0" eb="3">
      <t>トクテンリツ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</si>
  <si>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予想勝率</t>
    </r>
    <r>
      <rPr>
        <sz val="8"/>
        <color theme="1"/>
        <rFont val="ＭＳ Ｐゴシック"/>
        <family val="3"/>
        <charset val="128"/>
        <scheme val="minor"/>
      </rPr>
      <t>※2</t>
    </r>
    <rPh sb="0" eb="4">
      <t>ヨソウショウリツ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</si>
</sst>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0_ "/>
    <numFmt numFmtId="179" formatCode="0.0%"/>
    <numFmt numFmtId="180" formatCode="0.000%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179" fontId="6" fillId="0" borderId="2" xfId="0" applyNumberFormat="1" applyFont="1" applyBorder="1"/>
    <xf numFmtId="0" fontId="6" fillId="0" borderId="0" xfId="0" applyFont="1" applyAlignment="1">
      <alignment horizontal="right"/>
    </xf>
    <xf numFmtId="0" fontId="6" fillId="0" borderId="3" xfId="0" applyFont="1" applyBorder="1"/>
    <xf numFmtId="0" fontId="6" fillId="0" borderId="0" xfId="0" applyFont="1" applyBorder="1"/>
    <xf numFmtId="179" fontId="6" fillId="0" borderId="0" xfId="0" applyNumberFormat="1" applyFont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right"/>
    </xf>
    <xf numFmtId="177" fontId="6" fillId="2" borderId="0" xfId="0" applyNumberFormat="1" applyFont="1" applyFill="1"/>
    <xf numFmtId="180" fontId="6" fillId="3" borderId="0" xfId="0" applyNumberFormat="1" applyFont="1" applyFill="1"/>
    <xf numFmtId="49" fontId="6" fillId="4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I1" sqref="I1:P11"/>
    </sheetView>
  </sheetViews>
  <sheetFormatPr defaultRowHeight="13.5" x14ac:dyDescent="0.15"/>
  <cols>
    <col min="15" max="15" width="10.5" customWidth="1"/>
    <col min="16" max="16" width="13" customWidth="1"/>
  </cols>
  <sheetData>
    <row r="1" spans="1:16" ht="19.5" thickBot="1" x14ac:dyDescent="0.25">
      <c r="A1" s="15" t="s">
        <v>5</v>
      </c>
      <c r="B1" s="15"/>
      <c r="C1" s="15" t="s">
        <v>4</v>
      </c>
      <c r="D1" s="15"/>
      <c r="E1" s="15" t="s">
        <v>6</v>
      </c>
      <c r="F1" s="15"/>
      <c r="I1" s="3"/>
      <c r="J1" s="4" t="s">
        <v>0</v>
      </c>
      <c r="K1" s="5" t="s">
        <v>1</v>
      </c>
      <c r="L1" s="5" t="s">
        <v>2</v>
      </c>
      <c r="M1" s="5" t="s">
        <v>16</v>
      </c>
      <c r="N1" s="5" t="s">
        <v>17</v>
      </c>
      <c r="O1" s="14" t="s">
        <v>44</v>
      </c>
      <c r="P1" s="14" t="s">
        <v>45</v>
      </c>
    </row>
    <row r="2" spans="1:16" ht="18.75" x14ac:dyDescent="0.2">
      <c r="A2" s="16" t="s">
        <v>3</v>
      </c>
      <c r="B2" s="16" t="s">
        <v>7</v>
      </c>
      <c r="C2" s="16">
        <v>11</v>
      </c>
      <c r="D2" s="16">
        <v>5</v>
      </c>
      <c r="E2" s="16" t="s">
        <v>12</v>
      </c>
      <c r="F2" s="16" t="s">
        <v>13</v>
      </c>
      <c r="I2" s="6" t="s">
        <v>3</v>
      </c>
      <c r="J2" s="7">
        <f>COUNTIF(A2:B25,"横田")</f>
        <v>8</v>
      </c>
      <c r="K2" s="8">
        <f>COUNTIF(E2:F25,"横田")</f>
        <v>3</v>
      </c>
      <c r="L2" s="9">
        <f>J2/(J2+K2)</f>
        <v>0.72727272727272729</v>
      </c>
      <c r="M2" s="8">
        <f ca="1">SUMIF(A2:B25,"横田",C2:C25)+SUMIF(E2:F25,"横田",D2:D25)</f>
        <v>126</v>
      </c>
      <c r="N2" s="8">
        <f>SUMIF(A2:A25,"横田",D2:D25)+SUMIF(B2:B25,"横田",D2:D25)+SUMIF(E2:E25,"横田",C2:C25)+SUMIF(F2:F25,"横田",C2:C25)</f>
        <v>103</v>
      </c>
      <c r="O2" s="9">
        <f ca="1">M2/(M2+N2)</f>
        <v>0.55021834061135366</v>
      </c>
      <c r="P2" s="9">
        <v>0.74099999999999999</v>
      </c>
    </row>
    <row r="3" spans="1:16" ht="18.75" x14ac:dyDescent="0.2">
      <c r="A3" s="16" t="s">
        <v>8</v>
      </c>
      <c r="B3" s="16" t="s">
        <v>9</v>
      </c>
      <c r="C3" s="16">
        <v>11</v>
      </c>
      <c r="D3" s="16">
        <v>9</v>
      </c>
      <c r="E3" s="16" t="s">
        <v>14</v>
      </c>
      <c r="F3" s="16" t="s">
        <v>15</v>
      </c>
      <c r="I3" s="10" t="s">
        <v>10</v>
      </c>
      <c r="J3" s="11">
        <f>COUNTIF(A2:B25,"鈴木")</f>
        <v>6</v>
      </c>
      <c r="K3" s="12">
        <f>COUNTIF(E2:F25,"鈴木")</f>
        <v>2</v>
      </c>
      <c r="L3" s="13">
        <f>J3/(J3+K3)</f>
        <v>0.75</v>
      </c>
      <c r="M3" s="12">
        <f>SUMIF(A2:A25,"鈴木",C2:C25)+SUMIF(B2:B25,"鈴木",C2:C25)+SUMIF(E2:E25,"鈴木",D2:D25)+SUMIF(F2:F25,"鈴木",D2:D25)</f>
        <v>94</v>
      </c>
      <c r="N3" s="12">
        <f>SUMIF(A2:A25,"鈴木",D2:D25)+SUMIF(B2:B25,"鈴木",D2:D25)+SUMIF(E2:E25,"鈴木",C2:C25)+SUMIF(F2:F25,"鈴木",C2:C25)</f>
        <v>80</v>
      </c>
      <c r="O3" s="13">
        <f>M3/(M3+N3)</f>
        <v>0.54022988505747127</v>
      </c>
      <c r="P3" s="13">
        <v>0.69699999999999995</v>
      </c>
    </row>
    <row r="4" spans="1:16" ht="18.75" x14ac:dyDescent="0.2">
      <c r="A4" s="16" t="s">
        <v>10</v>
      </c>
      <c r="B4" s="16" t="s">
        <v>11</v>
      </c>
      <c r="C4" s="16">
        <v>11</v>
      </c>
      <c r="D4" s="16">
        <v>8</v>
      </c>
      <c r="E4" s="16" t="s">
        <v>3</v>
      </c>
      <c r="F4" s="16" t="s">
        <v>13</v>
      </c>
      <c r="I4" s="10" t="s">
        <v>8</v>
      </c>
      <c r="J4" s="11">
        <f>COUNTIF(A2:B25,"床波")</f>
        <v>6</v>
      </c>
      <c r="K4" s="12">
        <f>COUNTIF(E2:F25,"床波")</f>
        <v>2</v>
      </c>
      <c r="L4" s="13">
        <f>J4/(J4+K4)</f>
        <v>0.75</v>
      </c>
      <c r="M4" s="12">
        <f>SUMIF(A2:A25,"床波",C2:C25)+SUMIF(B2:B25,"床波",C2:C25)+SUMIF(E2:E25,"床波",D2:D25)+SUMIF(F2:F25,"床波",D2:D25)</f>
        <v>84</v>
      </c>
      <c r="N4" s="12">
        <f>SUMIF(A2:A25,"床波",D2:D25)+SUMIF(B2:B25,"床波",D2:D25)+SUMIF(E2:E25,"床波",C2:C25)+SUMIF(F2:F25,"床波",C2:C25)</f>
        <v>67</v>
      </c>
      <c r="O4" s="13">
        <f>M4/(M4+N4)</f>
        <v>0.55629139072847678</v>
      </c>
      <c r="P4" s="13">
        <v>0.76500000000000001</v>
      </c>
    </row>
    <row r="5" spans="1:16" ht="18.75" x14ac:dyDescent="0.2">
      <c r="A5" s="16" t="s">
        <v>3</v>
      </c>
      <c r="B5" s="16" t="s">
        <v>8</v>
      </c>
      <c r="C5" s="16">
        <v>11</v>
      </c>
      <c r="D5" s="16">
        <v>8</v>
      </c>
      <c r="E5" s="16" t="s">
        <v>11</v>
      </c>
      <c r="F5" s="16" t="s">
        <v>13</v>
      </c>
      <c r="I5" s="10" t="s">
        <v>14</v>
      </c>
      <c r="J5" s="11">
        <f>COUNTIF(A2:B25,"田口")</f>
        <v>1</v>
      </c>
      <c r="K5" s="12">
        <f>COUNTIF(E2:F25,"田口")</f>
        <v>7</v>
      </c>
      <c r="L5" s="13">
        <f>J5/(J5+K5)</f>
        <v>0.125</v>
      </c>
      <c r="M5" s="12">
        <f>SUMIF(A2:A25,"田口",C2:C25)+SUMIF(B2:B25,"田口",C2:C25)+SUMIF(E2:E25,"田口",D2:D25)+SUMIF(F2:F25,"田口",D2:D25)</f>
        <v>70</v>
      </c>
      <c r="N5" s="12">
        <f>SUMIF(A2:A25,"田口",D2:D25)+SUMIF(B2:B25,"田口",D2:D25)+SUMIF(E2:E25,"田口",C2:C25)+SUMIF(F2:F25,"田口",C2:C25)</f>
        <v>94</v>
      </c>
      <c r="O5" s="13">
        <f>M5/(M5+N5)</f>
        <v>0.42682926829268292</v>
      </c>
      <c r="P5" s="13">
        <v>0.17199999999999999</v>
      </c>
    </row>
    <row r="6" spans="1:16" ht="18.75" x14ac:dyDescent="0.2">
      <c r="A6" s="16" t="s">
        <v>12</v>
      </c>
      <c r="B6" s="16" t="s">
        <v>15</v>
      </c>
      <c r="C6" s="16">
        <v>11</v>
      </c>
      <c r="D6" s="16">
        <v>6</v>
      </c>
      <c r="E6" s="16" t="s">
        <v>7</v>
      </c>
      <c r="F6" s="16" t="s">
        <v>9</v>
      </c>
      <c r="I6" s="10" t="s">
        <v>12</v>
      </c>
      <c r="J6" s="11">
        <f>COUNTIF(A2:B25,"友藤")</f>
        <v>6</v>
      </c>
      <c r="K6" s="12">
        <f>COUNTIF(E2:F25,"友藤")</f>
        <v>4</v>
      </c>
      <c r="L6" s="13">
        <f>J6/(J6+K6)</f>
        <v>0.6</v>
      </c>
      <c r="M6" s="12">
        <f>SUMIF(A2:A25,"友藤",C2:C25)+SUMIF(B2:B25,"友藤",C2:C25)+SUMIF(E2:E25,"友藤",D2:D25)+SUMIF(F2:F25,"友藤",D2:D25)</f>
        <v>94</v>
      </c>
      <c r="N6" s="12">
        <f>SUMIF(A2:A25,"友藤",D2:D25)+SUMIF(B2:B25,"友藤",D2:D25)+SUMIF(E2:E25,"友藤",C2:C25)+SUMIF(F2:F25,"友藤",C2:C25)</f>
        <v>90</v>
      </c>
      <c r="O6" s="13">
        <f>M6/(M6+N6)</f>
        <v>0.51086956521739135</v>
      </c>
      <c r="P6" s="13">
        <v>0.55600000000000005</v>
      </c>
    </row>
    <row r="7" spans="1:16" ht="18.75" x14ac:dyDescent="0.2">
      <c r="A7" s="16" t="s">
        <v>3</v>
      </c>
      <c r="B7" s="16" t="s">
        <v>14</v>
      </c>
      <c r="C7" s="16">
        <v>17</v>
      </c>
      <c r="D7" s="16">
        <v>15</v>
      </c>
      <c r="E7" s="16" t="s">
        <v>10</v>
      </c>
      <c r="F7" s="16" t="s">
        <v>7</v>
      </c>
      <c r="I7" s="10" t="s">
        <v>15</v>
      </c>
      <c r="J7" s="11">
        <f>COUNTIF(A2:B25,"上野山")</f>
        <v>6</v>
      </c>
      <c r="K7" s="12">
        <f>COUNTIF(E2:F25,"上野山")</f>
        <v>4</v>
      </c>
      <c r="L7" s="13">
        <f>J7/(J7+K7)</f>
        <v>0.6</v>
      </c>
      <c r="M7" s="12">
        <f>SUMIF(A2:A25,"上野山",C2:C25)+SUMIF(B2:B25,"上野山",C2:C25)+SUMIF(E2:E25,"上野山",D2:D25)+SUMIF(F2:F25,"上野山",D2:D25)</f>
        <v>102</v>
      </c>
      <c r="N7" s="12">
        <f>SUMIF(A2:A25,"上野山",D2:D25)+SUMIF(B2:B25,"上野山",D2:D25)+SUMIF(E2:E25,"上野山",C2:C25)+SUMIF(F2:F25,"上野山",C2:C25)</f>
        <v>91</v>
      </c>
      <c r="O7" s="13">
        <f>M7/(M7+N7)</f>
        <v>0.52849740932642486</v>
      </c>
      <c r="P7" s="13">
        <v>0.64100000000000001</v>
      </c>
    </row>
    <row r="8" spans="1:16" ht="18.75" x14ac:dyDescent="0.2">
      <c r="A8" s="16" t="s">
        <v>3</v>
      </c>
      <c r="B8" s="16" t="s">
        <v>13</v>
      </c>
      <c r="C8" s="16">
        <v>11</v>
      </c>
      <c r="D8" s="16">
        <v>9</v>
      </c>
      <c r="E8" s="16" t="s">
        <v>14</v>
      </c>
      <c r="F8" s="16" t="s">
        <v>7</v>
      </c>
      <c r="I8" s="10" t="s">
        <v>11</v>
      </c>
      <c r="J8" s="11">
        <f>COUNTIF(A2:B25,"堀井")</f>
        <v>5</v>
      </c>
      <c r="K8" s="12">
        <f>COUNTIF(E2:F25,"堀井")</f>
        <v>4</v>
      </c>
      <c r="L8" s="13">
        <f>J8/(J8+K8)</f>
        <v>0.55555555555555558</v>
      </c>
      <c r="M8" s="12">
        <f>SUMIF(A2:A25,"堀井",C2:C25)+SUMIF(B2:B25,"堀井",C2:C25)+SUMIF(E2:E25,"堀井",D2:D25)+SUMIF(F2:F25,"堀井",D2:D25)</f>
        <v>90</v>
      </c>
      <c r="N8" s="12">
        <f>SUMIF(A2:A25,"堀井",D2:D25)+SUMIF(B2:B25,"堀井",D2:D25)+SUMIF(E2:E25,"堀井",C2:C25)+SUMIF(F2:F25,"堀井",C2:C25)</f>
        <v>81</v>
      </c>
      <c r="O8" s="13">
        <f>M8/(M8+N8)</f>
        <v>0.52631578947368418</v>
      </c>
      <c r="P8" s="13">
        <v>0.63100000000000001</v>
      </c>
    </row>
    <row r="9" spans="1:16" ht="18.75" x14ac:dyDescent="0.2">
      <c r="A9" s="16" t="s">
        <v>3</v>
      </c>
      <c r="B9" s="16" t="s">
        <v>8</v>
      </c>
      <c r="C9" s="16">
        <v>11</v>
      </c>
      <c r="D9" s="16">
        <v>6</v>
      </c>
      <c r="E9" s="16" t="s">
        <v>10</v>
      </c>
      <c r="F9" s="16" t="s">
        <v>12</v>
      </c>
      <c r="I9" s="10" t="s">
        <v>7</v>
      </c>
      <c r="J9" s="11">
        <f>COUNTIF(A2:B25,"平岩")</f>
        <v>3</v>
      </c>
      <c r="K9" s="12">
        <f>COUNTIF(E2:F25,"平岩")</f>
        <v>7</v>
      </c>
      <c r="L9" s="13">
        <f>J9/(J9+K9)</f>
        <v>0.3</v>
      </c>
      <c r="M9" s="12">
        <f>SUMIF(A2:A25,"平岩",C2:C25)+SUMIF(B2:B25,"平岩",C2:C25)+SUMIF(E2:E25,"平岩",D2:D25)+SUMIF(F2:F25,"平岩",D2:D25)</f>
        <v>90</v>
      </c>
      <c r="N9" s="12">
        <f>SUMIF(A2:A25,"平岩",D2:D25)+SUMIF(B2:B25,"平岩",D2:D25)+SUMIF(E2:E25,"平岩",C2:C25)+SUMIF(F2:F25,"平岩",C2:C25)</f>
        <v>108</v>
      </c>
      <c r="O9" s="13">
        <f>M9/(M9+N9)</f>
        <v>0.45454545454545453</v>
      </c>
      <c r="P9" s="13">
        <v>0.28799999999999998</v>
      </c>
    </row>
    <row r="10" spans="1:16" ht="18.75" x14ac:dyDescent="0.2">
      <c r="A10" s="16" t="s">
        <v>11</v>
      </c>
      <c r="B10" s="16" t="s">
        <v>7</v>
      </c>
      <c r="C10" s="16">
        <v>13</v>
      </c>
      <c r="D10" s="16">
        <v>11</v>
      </c>
      <c r="E10" s="16" t="s">
        <v>15</v>
      </c>
      <c r="F10" s="16" t="s">
        <v>9</v>
      </c>
      <c r="I10" s="10" t="s">
        <v>9</v>
      </c>
      <c r="J10" s="11">
        <f>COUNTIF(A2:B25,"小原")</f>
        <v>3</v>
      </c>
      <c r="K10" s="12">
        <f>COUNTIF(E2:F25,"小原")</f>
        <v>8</v>
      </c>
      <c r="L10" s="13">
        <f>J10/(J10+K10)</f>
        <v>0.27272727272727271</v>
      </c>
      <c r="M10" s="12">
        <f>SUMIF(A2:A25,"小原",C2:C25)+SUMIF(B2:B25,"小原",C2:C25)+SUMIF(E2:E25,"小原",D2:D25)+SUMIF(F2:F25,"小原",D2:D25)</f>
        <v>96</v>
      </c>
      <c r="N10" s="12">
        <f>SUMIF(A2:A25,"小原",D2:D25)+SUMIF(B2:B25,"小原",D2:D25)+SUMIF(E2:E25,"小原",C2:C25)+SUMIF(F2:F25,"小原",C2:C25)</f>
        <v>115</v>
      </c>
      <c r="O10" s="13">
        <f>M10/(M10+N10)</f>
        <v>0.45497630331753552</v>
      </c>
      <c r="P10" s="13">
        <v>0.28799999999999998</v>
      </c>
    </row>
    <row r="11" spans="1:16" ht="18.75" x14ac:dyDescent="0.2">
      <c r="A11" s="16" t="s">
        <v>8</v>
      </c>
      <c r="B11" s="16" t="s">
        <v>15</v>
      </c>
      <c r="C11" s="16">
        <v>11</v>
      </c>
      <c r="D11" s="16">
        <v>8</v>
      </c>
      <c r="E11" s="16" t="s">
        <v>3</v>
      </c>
      <c r="F11" s="16" t="s">
        <v>11</v>
      </c>
      <c r="I11" s="10" t="s">
        <v>13</v>
      </c>
      <c r="J11" s="11">
        <f>COUNTIF(A2:B25,"岩城")</f>
        <v>4</v>
      </c>
      <c r="K11" s="12">
        <f>COUNTIF(E2:F25,"岩城")</f>
        <v>7</v>
      </c>
      <c r="L11" s="13">
        <f>J11/(J11+K11)</f>
        <v>0.36363636363636365</v>
      </c>
      <c r="M11" s="12">
        <f>SUMIF(A2:A25,"岩城",C2:C25)+SUMIF(B2:B25,"岩城",C2:C25)+SUMIF(E2:E25,"岩城",D2:D25)+SUMIF(F2:F25,"岩城",D2:D25)</f>
        <v>100</v>
      </c>
      <c r="N11" s="12">
        <f>SUMIF(A2:A25,"岩城",D2:D25)+SUMIF(B2:B25,"岩城",D2:D25)+SUMIF(E2:E25,"岩城",C2:C25)+SUMIF(F2:F25,"岩城",C2:C25)</f>
        <v>117</v>
      </c>
      <c r="O11" s="13">
        <f>M11/(M11+N11)</f>
        <v>0.46082949308755761</v>
      </c>
      <c r="P11" s="13">
        <v>0.307</v>
      </c>
    </row>
    <row r="12" spans="1:16" ht="17.25" x14ac:dyDescent="0.2">
      <c r="A12" s="16" t="s">
        <v>10</v>
      </c>
      <c r="B12" s="16" t="s">
        <v>15</v>
      </c>
      <c r="C12" s="16">
        <v>11</v>
      </c>
      <c r="D12" s="16">
        <v>7</v>
      </c>
      <c r="E12" s="16" t="s">
        <v>14</v>
      </c>
      <c r="F12" s="16" t="s">
        <v>9</v>
      </c>
      <c r="I12" s="1"/>
    </row>
    <row r="13" spans="1:16" ht="17.25" x14ac:dyDescent="0.2">
      <c r="A13" s="16" t="s">
        <v>12</v>
      </c>
      <c r="B13" s="16" t="s">
        <v>9</v>
      </c>
      <c r="C13" s="16">
        <v>11</v>
      </c>
      <c r="D13" s="16">
        <v>7</v>
      </c>
      <c r="E13" s="16" t="s">
        <v>7</v>
      </c>
      <c r="F13" s="16" t="s">
        <v>13</v>
      </c>
    </row>
    <row r="14" spans="1:16" ht="17.25" x14ac:dyDescent="0.2">
      <c r="A14" s="16" t="s">
        <v>8</v>
      </c>
      <c r="B14" s="16" t="s">
        <v>11</v>
      </c>
      <c r="C14" s="16">
        <v>11</v>
      </c>
      <c r="D14" s="16">
        <v>3</v>
      </c>
      <c r="E14" s="16" t="s">
        <v>14</v>
      </c>
      <c r="F14" s="16" t="s">
        <v>12</v>
      </c>
    </row>
    <row r="15" spans="1:16" ht="17.25" x14ac:dyDescent="0.2">
      <c r="A15" s="16" t="s">
        <v>15</v>
      </c>
      <c r="B15" s="16" t="s">
        <v>11</v>
      </c>
      <c r="C15" s="16">
        <v>11</v>
      </c>
      <c r="D15" s="16">
        <v>6</v>
      </c>
      <c r="E15" s="16" t="s">
        <v>7</v>
      </c>
      <c r="F15" s="16" t="s">
        <v>9</v>
      </c>
    </row>
    <row r="16" spans="1:16" ht="17.25" x14ac:dyDescent="0.2">
      <c r="A16" s="16" t="s">
        <v>10</v>
      </c>
      <c r="B16" s="16" t="s">
        <v>13</v>
      </c>
      <c r="C16" s="16">
        <v>16</v>
      </c>
      <c r="D16" s="16">
        <v>14</v>
      </c>
      <c r="E16" s="16" t="s">
        <v>3</v>
      </c>
      <c r="F16" s="16" t="s">
        <v>12</v>
      </c>
    </row>
    <row r="17" spans="1:6" ht="17.25" x14ac:dyDescent="0.2">
      <c r="A17" s="16" t="s">
        <v>3</v>
      </c>
      <c r="B17" s="16" t="s">
        <v>10</v>
      </c>
      <c r="C17" s="16">
        <v>13</v>
      </c>
      <c r="D17" s="16">
        <v>11</v>
      </c>
      <c r="E17" s="16" t="s">
        <v>8</v>
      </c>
      <c r="F17" s="16" t="s">
        <v>14</v>
      </c>
    </row>
    <row r="18" spans="1:6" ht="17.25" x14ac:dyDescent="0.2">
      <c r="A18" s="16" t="s">
        <v>15</v>
      </c>
      <c r="B18" s="16" t="s">
        <v>13</v>
      </c>
      <c r="C18" s="16">
        <v>13</v>
      </c>
      <c r="D18" s="16">
        <v>11</v>
      </c>
      <c r="E18" s="16" t="s">
        <v>11</v>
      </c>
      <c r="F18" s="16" t="s">
        <v>9</v>
      </c>
    </row>
    <row r="19" spans="1:6" ht="17.25" x14ac:dyDescent="0.2">
      <c r="A19" s="16" t="s">
        <v>12</v>
      </c>
      <c r="B19" s="16" t="s">
        <v>7</v>
      </c>
      <c r="C19" s="16">
        <v>11</v>
      </c>
      <c r="D19" s="16">
        <v>9</v>
      </c>
      <c r="E19" s="16" t="s">
        <v>9</v>
      </c>
      <c r="F19" s="16" t="s">
        <v>13</v>
      </c>
    </row>
    <row r="20" spans="1:6" ht="17.25" x14ac:dyDescent="0.2">
      <c r="A20" s="16" t="s">
        <v>10</v>
      </c>
      <c r="B20" s="16" t="s">
        <v>12</v>
      </c>
      <c r="C20" s="16">
        <v>11</v>
      </c>
      <c r="D20" s="16">
        <v>5</v>
      </c>
      <c r="E20" s="16" t="s">
        <v>15</v>
      </c>
      <c r="F20" s="16" t="s">
        <v>7</v>
      </c>
    </row>
    <row r="21" spans="1:6" ht="17.25" x14ac:dyDescent="0.2">
      <c r="A21" s="16" t="s">
        <v>3</v>
      </c>
      <c r="B21" s="16" t="s">
        <v>13</v>
      </c>
      <c r="C21" s="16">
        <v>11</v>
      </c>
      <c r="D21" s="16">
        <v>6</v>
      </c>
      <c r="E21" s="16" t="s">
        <v>11</v>
      </c>
      <c r="F21" s="16" t="s">
        <v>9</v>
      </c>
    </row>
    <row r="22" spans="1:6" ht="17.25" x14ac:dyDescent="0.2">
      <c r="A22" s="16" t="s">
        <v>8</v>
      </c>
      <c r="B22" s="16" t="s">
        <v>12</v>
      </c>
      <c r="C22" s="16">
        <v>11</v>
      </c>
      <c r="D22" s="16">
        <v>9</v>
      </c>
      <c r="E22" s="16" t="s">
        <v>14</v>
      </c>
      <c r="F22" s="16" t="s">
        <v>15</v>
      </c>
    </row>
    <row r="23" spans="1:6" ht="17.25" x14ac:dyDescent="0.2">
      <c r="A23" s="16" t="s">
        <v>3</v>
      </c>
      <c r="B23" s="16" t="s">
        <v>12</v>
      </c>
      <c r="C23" s="16">
        <v>11</v>
      </c>
      <c r="D23" s="16">
        <v>5</v>
      </c>
      <c r="E23" s="16" t="s">
        <v>14</v>
      </c>
      <c r="F23" s="16" t="s">
        <v>13</v>
      </c>
    </row>
    <row r="24" spans="1:6" ht="17.25" x14ac:dyDescent="0.2">
      <c r="A24" s="16" t="s">
        <v>10</v>
      </c>
      <c r="B24" s="16" t="s">
        <v>9</v>
      </c>
      <c r="C24" s="16">
        <v>11</v>
      </c>
      <c r="D24" s="16">
        <v>7</v>
      </c>
      <c r="E24" s="16" t="s">
        <v>7</v>
      </c>
      <c r="F24" s="16" t="s">
        <v>13</v>
      </c>
    </row>
    <row r="25" spans="1:6" ht="17.25" x14ac:dyDescent="0.2">
      <c r="A25" s="16" t="s">
        <v>15</v>
      </c>
      <c r="B25" s="16" t="s">
        <v>11</v>
      </c>
      <c r="C25" s="16">
        <v>11</v>
      </c>
      <c r="D25" s="16">
        <v>7</v>
      </c>
      <c r="E25" s="16" t="s">
        <v>8</v>
      </c>
      <c r="F25" s="16" t="s">
        <v>9</v>
      </c>
    </row>
    <row r="26" spans="1:6" ht="17.25" x14ac:dyDescent="0.2">
      <c r="A26" s="17"/>
      <c r="B26" s="17"/>
      <c r="C26" s="17"/>
      <c r="D26" s="17"/>
      <c r="E26" s="17"/>
      <c r="F26" s="17"/>
    </row>
    <row r="27" spans="1:6" ht="17.25" x14ac:dyDescent="0.2">
      <c r="A27" s="17"/>
      <c r="B27" s="17"/>
      <c r="C27" s="17"/>
      <c r="D27" s="17"/>
      <c r="E27" s="2" t="s">
        <v>18</v>
      </c>
      <c r="F27" s="17"/>
    </row>
  </sheetData>
  <mergeCells count="3">
    <mergeCell ref="A1:B1"/>
    <mergeCell ref="C1:D1"/>
    <mergeCell ref="E1:F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I5" sqref="I5:J5"/>
    </sheetView>
  </sheetViews>
  <sheetFormatPr defaultRowHeight="13.5" x14ac:dyDescent="0.15"/>
  <cols>
    <col min="1" max="2" width="13" bestFit="1" customWidth="1"/>
    <col min="3" max="3" width="12" bestFit="1" customWidth="1"/>
    <col min="4" max="5" width="13" bestFit="1" customWidth="1"/>
    <col min="6" max="6" width="12.125" bestFit="1" customWidth="1"/>
    <col min="7" max="7" width="11" customWidth="1"/>
  </cols>
  <sheetData>
    <row r="1" spans="1:7" s="3" customFormat="1" ht="18.75" x14ac:dyDescent="0.2">
      <c r="A1" s="3" t="s">
        <v>19</v>
      </c>
      <c r="B1" s="3">
        <v>46.1</v>
      </c>
      <c r="C1" s="3" t="s">
        <v>20</v>
      </c>
      <c r="D1" s="18" t="s">
        <v>2</v>
      </c>
      <c r="E1" s="19">
        <f>(A4+B4+C4+D4+E4+F4+G4+A7+B7+C7+D7+E7+F7+G7+A10+B10+C10+D10+E10+F10+G10)*100</f>
        <v>30.7388429276516</v>
      </c>
      <c r="F1" s="3" t="s">
        <v>21</v>
      </c>
    </row>
    <row r="2" spans="1:7" s="3" customFormat="1" ht="18.75" x14ac:dyDescent="0.2"/>
    <row r="3" spans="1:7" s="3" customFormat="1" ht="18.75" x14ac:dyDescent="0.2">
      <c r="A3" s="21" t="s">
        <v>22</v>
      </c>
      <c r="B3" s="21" t="s">
        <v>23</v>
      </c>
      <c r="C3" s="21" t="s">
        <v>24</v>
      </c>
      <c r="D3" s="21" t="s">
        <v>25</v>
      </c>
      <c r="E3" s="21" t="s">
        <v>26</v>
      </c>
      <c r="F3" s="21" t="s">
        <v>27</v>
      </c>
      <c r="G3" s="21" t="s">
        <v>28</v>
      </c>
    </row>
    <row r="4" spans="1:7" s="3" customFormat="1" ht="18.75" x14ac:dyDescent="0.2">
      <c r="A4" s="20">
        <f>(B1/100)^21</f>
        <v>8.6640197414526212E-8</v>
      </c>
      <c r="B4" s="20">
        <f>(B1/100)^21*(1-B1/100)^1*COMBIN(20,1)</f>
        <v>9.3398132812859242E-7</v>
      </c>
      <c r="C4" s="20">
        <f>(B1/100)^21*(1-B1/100)^2*COMBIN(22,2)</f>
        <v>5.814454059198145E-6</v>
      </c>
      <c r="D4" s="20">
        <f>(B1/100)^21*(1-B1/100)^3*COMBIN(23,3)</f>
        <v>2.4027262323959798E-5</v>
      </c>
      <c r="E4" s="20">
        <f>(B1/100)^21*(1-B1/100)^4*COMBIN(24,4)</f>
        <v>7.7704166355685968E-5</v>
      </c>
      <c r="F4" s="20">
        <f>(B1/100)^21*(1-B1/100)^5*COMBIN(25,5)</f>
        <v>2.0941272832857363E-4</v>
      </c>
      <c r="G4" s="20">
        <f>(B1/100)^21*(1-B1/100)^6*COMBIN(26,6)</f>
        <v>4.8911832913277179E-4</v>
      </c>
    </row>
    <row r="5" spans="1:7" s="3" customFormat="1" ht="18.75" x14ac:dyDescent="0.2"/>
    <row r="6" spans="1:7" s="3" customFormat="1" ht="18.75" x14ac:dyDescent="0.2">
      <c r="A6" s="21" t="s">
        <v>29</v>
      </c>
      <c r="B6" s="21" t="s">
        <v>30</v>
      </c>
      <c r="C6" s="21" t="s">
        <v>31</v>
      </c>
      <c r="D6" s="21" t="s">
        <v>32</v>
      </c>
      <c r="E6" s="21" t="s">
        <v>33</v>
      </c>
      <c r="F6" s="21" t="s">
        <v>34</v>
      </c>
      <c r="G6" s="21" t="s">
        <v>35</v>
      </c>
    </row>
    <row r="7" spans="1:7" s="3" customFormat="1" ht="18.75" x14ac:dyDescent="0.2">
      <c r="A7" s="20">
        <f>(B1/100)^21*(1-B1/100)^7*COMBIN(27,7)</f>
        <v>1.0168770062670323E-3</v>
      </c>
      <c r="B7" s="20">
        <f>(B1/100)^21*(1-B1/100)^8*COMBIN(28,8)</f>
        <v>1.9183384723227563E-3</v>
      </c>
      <c r="C7" s="20">
        <f>(B1/100)^21*(1-B1/100)^9*COMBIN(29,9)</f>
        <v>3.3317276289863335E-3</v>
      </c>
      <c r="D7" s="20">
        <f>(B1/100)^21*(1-B1/100)^10*COMBIN(30,10)</f>
        <v>5.3874035760709009E-3</v>
      </c>
      <c r="E7" s="20">
        <f>(B1/100)^21*(1-B1/100)^11*COMBIN(31,11)</f>
        <v>8.1834660320516967E-3</v>
      </c>
      <c r="F7" s="20">
        <f>(B1/100)^21*(1-B1/100)^12*COMBIN(32,12)</f>
        <v>1.1762368510068968E-2</v>
      </c>
      <c r="G7" s="20">
        <f>(B1/100)^21*(1-B1/100)^13*COMBIN(33,13)</f>
        <v>1.6093634514507439E-2</v>
      </c>
    </row>
    <row r="8" spans="1:7" s="3" customFormat="1" ht="18.75" x14ac:dyDescent="0.2"/>
    <row r="9" spans="1:7" s="3" customFormat="1" ht="18.75" x14ac:dyDescent="0.2">
      <c r="A9" s="21" t="s">
        <v>36</v>
      </c>
      <c r="B9" s="21" t="s">
        <v>37</v>
      </c>
      <c r="C9" s="21" t="s">
        <v>38</v>
      </c>
      <c r="D9" s="21" t="s">
        <v>39</v>
      </c>
      <c r="E9" s="21" t="s">
        <v>40</v>
      </c>
      <c r="F9" s="21" t="s">
        <v>41</v>
      </c>
      <c r="G9" s="22" t="s">
        <v>42</v>
      </c>
    </row>
    <row r="10" spans="1:7" s="3" customFormat="1" ht="18.75" x14ac:dyDescent="0.2">
      <c r="A10" s="20">
        <f>(B1/100)^21*(1-B1/100)^14*COMBIN(34,14)</f>
        <v>2.1066567579490238E-2</v>
      </c>
      <c r="B10" s="20">
        <f>(B1/100)^21*(1-B1/100)^15*COMBIN(35,15)</f>
        <v>2.6494719825805549E-2</v>
      </c>
      <c r="C10" s="20">
        <f>(B1/100)^21*(1-B1/100)^16*COMBIN(36,16)</f>
        <v>3.2131471468745676E-2</v>
      </c>
      <c r="D10" s="20">
        <f>(B1/100)^21*(1-B1/100)^17*COMBIN(37,17)</f>
        <v>3.7693996205952637E-2</v>
      </c>
      <c r="E10" s="20">
        <f>(B1/100)^21*(1-B1/100)^18*COMBIN(38,18)</f>
        <v>4.289157946057344E-2</v>
      </c>
      <c r="F10" s="20">
        <f>(B1/100)^21*(1-B1/100)^19*COMBIN(39,19)</f>
        <v>4.7453889044248111E-2</v>
      </c>
      <c r="G10" s="20">
        <f>(B1/100)^21*(1-B1/100)^20*COMBIN(40,20)</f>
        <v>5.1155292389699444E-2</v>
      </c>
    </row>
    <row r="11" spans="1:7" s="3" customFormat="1" ht="18.75" x14ac:dyDescent="0.2"/>
    <row r="12" spans="1:7" s="3" customFormat="1" ht="18.75" x14ac:dyDescent="0.2">
      <c r="C12" s="3" t="s">
        <v>43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戦績表</vt:lpstr>
      <vt:lpstr>勝率計算機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2016-06-27T02:59:18Z</dcterms:modified>
</cp:coreProperties>
</file>